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https://tartumaaarendusselts-my.sharepoint.com/personal/kristiina_tammets_tas_ee/Documents/Organisatsioon/Otsustusorganite-koosolekud-2024/Üldkoosolekud/26.06.2024-Kambja/Materjal/4. 2024. a rakenduskavade ja eelarve muutmine/"/>
    </mc:Choice>
  </mc:AlternateContent>
  <xr:revisionPtr revIDLastSave="33" documentId="13_ncr:1_{271CCDAB-37BD-AC4F-9458-809F573EB0E8}" xr6:coauthVersionLast="47" xr6:coauthVersionMax="47" xr10:uidLastSave="{F0D11FD4-14FF-F547-9B2F-A5ABB33A6320}"/>
  <bookViews>
    <workbookView xWindow="460" yWindow="2440" windowWidth="25600" windowHeight="14580" activeTab="3" xr2:uid="{00000000-000D-0000-FFFF-FFFF00000000}"/>
  </bookViews>
  <sheets>
    <sheet name="jooksvad kulud 2024" sheetId="1" r:id="rId1"/>
    <sheet name="elavdamiskulud 2024" sheetId="2" r:id="rId2"/>
    <sheet name="Koond-2024" sheetId="3" r:id="rId3"/>
    <sheet name="Eelarve-2024" sheetId="4" r:id="rId4"/>
    <sheet name="Seletuskiri-eelarvele" sheetId="5" r:id="rId5"/>
    <sheet name="Arendusprojektide-eelarve-2024" sheetId="6" r:id="rId6"/>
    <sheet name="TAS-arendusprojektid" sheetId="7" r:id="rId7"/>
  </sheets>
  <definedNames>
    <definedName name="Prinditiitlid" localSheetId="0">'jooksvad kulud 2024'!$A$4:$IM$4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kLBX9MF89N7m1B5HcusvNfF56f/GeL060ZT8d6aXkH0="/>
    </ext>
  </extLst>
</workbook>
</file>

<file path=xl/calcChain.xml><?xml version="1.0" encoding="utf-8"?>
<calcChain xmlns="http://schemas.openxmlformats.org/spreadsheetml/2006/main">
  <c r="B18" i="5" l="1"/>
  <c r="B24" i="5"/>
  <c r="D13" i="2"/>
  <c r="D44" i="1"/>
  <c r="D16" i="6" l="1"/>
  <c r="D20" i="7"/>
  <c r="D19" i="7"/>
  <c r="D8" i="6"/>
  <c r="D6" i="6"/>
  <c r="D7" i="6"/>
  <c r="D9" i="6"/>
  <c r="D10" i="6"/>
  <c r="D11" i="6"/>
  <c r="D12" i="6"/>
  <c r="D13" i="6"/>
  <c r="D14" i="6"/>
  <c r="D15" i="6"/>
  <c r="D5" i="6"/>
  <c r="B30" i="6"/>
  <c r="B16" i="6"/>
  <c r="C17" i="4"/>
  <c r="C16" i="4"/>
  <c r="C15" i="4"/>
  <c r="D7" i="2" l="1"/>
  <c r="D5" i="2"/>
  <c r="D37" i="1"/>
  <c r="D19" i="1" l="1"/>
  <c r="D17" i="1"/>
  <c r="D15" i="1"/>
  <c r="D13" i="1"/>
  <c r="D9" i="1"/>
  <c r="D7" i="1"/>
  <c r="D29" i="1"/>
  <c r="D34" i="1"/>
  <c r="D38" i="1" l="1"/>
  <c r="D20" i="1"/>
  <c r="D26" i="1"/>
  <c r="D25" i="1"/>
  <c r="D24" i="1"/>
  <c r="D23" i="1"/>
  <c r="D33" i="1"/>
  <c r="D32" i="1"/>
  <c r="D30" i="1"/>
  <c r="D28" i="1"/>
  <c r="B13" i="5"/>
  <c r="C10" i="4" s="1"/>
  <c r="C8" i="5"/>
  <c r="B8" i="5"/>
  <c r="C7" i="5"/>
  <c r="C6" i="5"/>
  <c r="C5" i="4" s="1"/>
  <c r="C5" i="5"/>
  <c r="C9" i="5" s="1"/>
  <c r="C12" i="4"/>
  <c r="C6" i="4"/>
  <c r="B10" i="3"/>
  <c r="C21" i="4" s="1"/>
  <c r="B9" i="3"/>
  <c r="C20" i="4" s="1"/>
  <c r="B12" i="3"/>
  <c r="C23" i="4" s="1"/>
  <c r="C8" i="2"/>
  <c r="D8" i="2" s="1"/>
  <c r="C6" i="2"/>
  <c r="D6" i="2" s="1"/>
  <c r="D39" i="1"/>
  <c r="C36" i="1"/>
  <c r="C21" i="1"/>
  <c r="C18" i="1"/>
  <c r="D18" i="1" s="1"/>
  <c r="C16" i="1"/>
  <c r="D16" i="1" s="1"/>
  <c r="C14" i="1"/>
  <c r="D14" i="1" s="1"/>
  <c r="C10" i="1"/>
  <c r="C8" i="1"/>
  <c r="D8" i="1" s="1"/>
  <c r="C11" i="4" l="1"/>
  <c r="D10" i="2"/>
  <c r="D4" i="2" s="1"/>
  <c r="D31" i="1"/>
  <c r="D10" i="1"/>
  <c r="D22" i="1"/>
  <c r="D21" i="1" s="1"/>
  <c r="D6" i="1"/>
  <c r="C13" i="4"/>
  <c r="C12" i="1"/>
  <c r="D36" i="1"/>
  <c r="B6" i="3" s="1"/>
  <c r="D12" i="1"/>
  <c r="C4" i="4"/>
  <c r="C6" i="1"/>
  <c r="B11" i="3"/>
  <c r="C22" i="4" s="1"/>
  <c r="C4" i="2"/>
  <c r="C5" i="1" l="1"/>
  <c r="C44" i="1" s="1"/>
  <c r="B5" i="3"/>
  <c r="D5" i="1"/>
  <c r="B4" i="3" l="1"/>
  <c r="B8" i="3" l="1"/>
  <c r="C19" i="4" s="1"/>
  <c r="D15" i="2"/>
  <c r="B3" i="3"/>
  <c r="C14" i="4"/>
  <c r="C18" i="4" l="1"/>
  <c r="C24" i="4" s="1"/>
  <c r="C8" i="4" s="1"/>
  <c r="C3" i="4" s="1"/>
  <c r="B7" i="3"/>
  <c r="B13" i="3" l="1"/>
  <c r="C9" i="4"/>
</calcChain>
</file>

<file path=xl/sharedStrings.xml><?xml version="1.0" encoding="utf-8"?>
<sst xmlns="http://schemas.openxmlformats.org/spreadsheetml/2006/main" count="241" uniqueCount="190">
  <si>
    <t>TARTUMAA ARENDUSSELTSI JOOKSVAD KULUD 2024</t>
  </si>
  <si>
    <t>MEEDE 19.4, vana periood</t>
  </si>
  <si>
    <t>Jrk</t>
  </si>
  <si>
    <t>Kuluartikkel</t>
  </si>
  <si>
    <t>2024 1 kuu</t>
  </si>
  <si>
    <t>1.</t>
  </si>
  <si>
    <t xml:space="preserve">Otsesed abikõlblikud peronalikulud </t>
  </si>
  <si>
    <t>1.1.</t>
  </si>
  <si>
    <t>Personalikulud tegevmeeskond</t>
  </si>
  <si>
    <t>1.1.1.</t>
  </si>
  <si>
    <t>Tegevjuhi töötasu kuus bruto</t>
  </si>
  <si>
    <t>1.1.2.</t>
  </si>
  <si>
    <t>Tegevjuhi sotsiaalmaks ja tööandja töötuskindlustusmakse</t>
  </si>
  <si>
    <t>1.1.3.</t>
  </si>
  <si>
    <t>Konsultant-projektijuht töötasu bruto, koormus 1,0</t>
  </si>
  <si>
    <t>1.1.4.</t>
  </si>
  <si>
    <t>Konsultant-projektijuht sotsiaalmaks ja tööandja töötuskindlustusmakse</t>
  </si>
  <si>
    <t>1.1.5.</t>
  </si>
  <si>
    <t>Täiendavad tasud tegevmeeskonnale</t>
  </si>
  <si>
    <t>1.2.</t>
  </si>
  <si>
    <t>Juhatuse ja hindamiskomisjonitasud</t>
  </si>
  <si>
    <t>1.2.1.</t>
  </si>
  <si>
    <t>Juhatuse esimehe töötasu bruto (sisaldab juhatuse koosolekutel osalemist)</t>
  </si>
  <si>
    <t>1.2.2.</t>
  </si>
  <si>
    <t>Juhatuse esimehe sotsiaalmaks</t>
  </si>
  <si>
    <t>1.2.3.</t>
  </si>
  <si>
    <t>Juhatuse aseesimehe töötasu bruto (sisaldab juhatuse koosolekutel osalemist)</t>
  </si>
  <si>
    <t>1.2.4.</t>
  </si>
  <si>
    <t>Juhatuse aseesimehe sotsiaalmaks</t>
  </si>
  <si>
    <t>1.2.5.</t>
  </si>
  <si>
    <t>Juhatuse liikme hüvitis: 7 inimest, 1 kord kuus koosolek 100.- eurot bruto</t>
  </si>
  <si>
    <t>1.2.6.</t>
  </si>
  <si>
    <t>Juhatuse liikme sotsiaalmaks</t>
  </si>
  <si>
    <t>1.2.7.</t>
  </si>
  <si>
    <t>Hindamiskomisjoni liikme tasu: 15 inimest, 2 kord aastas, 200.- eurot bruto koosoleku eest</t>
  </si>
  <si>
    <t>1.2.8.</t>
  </si>
  <si>
    <t>Hindamiskomisjoni liikme sotsiaalmaks ja tööandja töötuskindlustusmakse</t>
  </si>
  <si>
    <t>2.</t>
  </si>
  <si>
    <t>Kaudsed abikõlblikud kulud max 20% otsestest kuludest</t>
  </si>
  <si>
    <t>2.1.</t>
  </si>
  <si>
    <t>Bürooruumi rent, sidekulud, tarkvara kantseleikulud, teenused.</t>
  </si>
  <si>
    <t>2.1.1.</t>
  </si>
  <si>
    <t>telefon, internet</t>
  </si>
  <si>
    <t>2.1.2.</t>
  </si>
  <si>
    <t>kontori rent ja hooldus, koristamine</t>
  </si>
  <si>
    <t>2.1.3.</t>
  </si>
  <si>
    <t>kantseleikulu</t>
  </si>
  <si>
    <t>2.1.4.</t>
  </si>
  <si>
    <t>Leader reklaamide kulud</t>
  </si>
  <si>
    <t>2.1.5.</t>
  </si>
  <si>
    <t>kontorimööbli ostmine</t>
  </si>
  <si>
    <t>2.1.6.</t>
  </si>
  <si>
    <t>kontoritehnika ostmine</t>
  </si>
  <si>
    <t>2.1.7.</t>
  </si>
  <si>
    <t>serverite rent, kontoritehnika hooldus</t>
  </si>
  <si>
    <t>2.1.8.</t>
  </si>
  <si>
    <t>Raamatupidamisprogrammi rent</t>
  </si>
  <si>
    <t>2.2.</t>
  </si>
  <si>
    <t>sõidukulud kokku</t>
  </si>
  <si>
    <t>2.2.1.</t>
  </si>
  <si>
    <t>sõidukulud tegevmeeskond</t>
  </si>
  <si>
    <t>2.2.2.</t>
  </si>
  <si>
    <t>sõidukulud juhatus, hindamiskomisjon</t>
  </si>
  <si>
    <t>2.2.3.</t>
  </si>
  <si>
    <t>auto remont/hooldus/kindlustus</t>
  </si>
  <si>
    <t>2.3.</t>
  </si>
  <si>
    <t xml:space="preserve">Muud kaudsed kulud </t>
  </si>
  <si>
    <t>3.</t>
  </si>
  <si>
    <t>Muud abikõlblikud jooksvad kulud</t>
  </si>
  <si>
    <t>3.1.</t>
  </si>
  <si>
    <t>Raamatupidamine teenuslepinguga TASi eelarve ja LEADER projektide raames (sisaldab ka majandusaasta aruande koostamist), 557 € kuu, lisaks aastaaruanne, lepinguperioodi keskel 20% teenuse hinnatõus.</t>
  </si>
  <si>
    <t>3.2.</t>
  </si>
  <si>
    <t>Õigusabi kulud</t>
  </si>
  <si>
    <t>3.3.</t>
  </si>
  <si>
    <t>Mootorsõiduki liisimise kulud</t>
  </si>
  <si>
    <t>3.4.</t>
  </si>
  <si>
    <t xml:space="preserve">TASi majandusaastaaruande auditeerimine </t>
  </si>
  <si>
    <t>3.5.</t>
  </si>
  <si>
    <t>Koolitused tegevmeeskonnale ja juhatusele, hindamiskomisjonile</t>
  </si>
  <si>
    <t>3.6.</t>
  </si>
  <si>
    <t>Koosolekute korraldamise kulud (juhatus, üldkoosolek, hindamiskomisjoni koosolek jms)</t>
  </si>
  <si>
    <t>KÕIK KOKKU JOOKSVAD KULUD</t>
  </si>
  <si>
    <t>TARTUMAA ARENDUSSELTSI ELAVDAMISKULUD 2024</t>
  </si>
  <si>
    <t>2024  1 kuu</t>
  </si>
  <si>
    <t>Tööjõukulud ja teenused arendus- ja elavdamistegevuste elluviimiseks, kaudsed kulud</t>
  </si>
  <si>
    <t>Konsultant-projektijuhi sotsiaalmaks ja tööandja töötuskindlustusmakse</t>
  </si>
  <si>
    <t>1.3.</t>
  </si>
  <si>
    <t>Tartumaa toidukoordinaator</t>
  </si>
  <si>
    <t>1.4.</t>
  </si>
  <si>
    <t>Tartumaa toidukoordinaatori sotsiaalmaks ja tööandja töötuskindlustusmakse</t>
  </si>
  <si>
    <t>1.5.</t>
  </si>
  <si>
    <t>Täiendavad tööjõukulud elavdamistegevusteks (Tartu 2024 mentorid, koolitajad jms)</t>
  </si>
  <si>
    <t>1.6.</t>
  </si>
  <si>
    <t>Elavdamiskulude kaudsed kulud</t>
  </si>
  <si>
    <t>Koosolekud, infopäevad, seminarid, koostööprojektide ettevalmistamise koosolekud, messid, õppereisid, lähetuskulud</t>
  </si>
  <si>
    <t>4.</t>
  </si>
  <si>
    <t xml:space="preserve">Kommunikatsioonitegevuste elluviimine vastavalt TASi kommunikatsioonikavale </t>
  </si>
  <si>
    <t>5.</t>
  </si>
  <si>
    <t>TASi liikmete koolitused ja õppereisid</t>
  </si>
  <si>
    <t>Leader Liidu/ELARDi liikmemaks</t>
  </si>
  <si>
    <t>KÕIK KOKKU ELAVDAMISKULUD</t>
  </si>
  <si>
    <t xml:space="preserve">Tartumaa Arendusseltsi rakenduskava aastal 2024 </t>
  </si>
  <si>
    <t>Jooksvad kulud kokku</t>
  </si>
  <si>
    <t>Otsesed abikõlblikud peronalikulud (tegevtöötajad, juhatus)</t>
  </si>
  <si>
    <t>Kaudsed abikõlblikud kulud max 20% otsestest personalikuludest (üldkulud, sõidukulud, kontorimööbel, tehnika, kantseleikulud)</t>
  </si>
  <si>
    <t>Elavdamiskulud kokku</t>
  </si>
  <si>
    <t>Tööjõukulud ja teenused arendus- ja elavdamistegevuste elluviimiseks</t>
  </si>
  <si>
    <t>Kommunikatsioonitegevuste elluviimine vastavalt TASi kommunikatsioonikavale (edulugude trükise väljaandmine ENG, edulugude kajastamine tavameedias ja sotsiaalmeedias, FB gruppide loomine, eksperdi kaasamine)</t>
  </si>
  <si>
    <t>TASi liikmete koolitused ja õppereisid, muu elavdamistegevus</t>
  </si>
  <si>
    <t>Kõik kokku</t>
  </si>
  <si>
    <t>EELARVE 2024</t>
  </si>
  <si>
    <t>Kirje nimetus</t>
  </si>
  <si>
    <t>KOKKU TULUD</t>
  </si>
  <si>
    <t>Liikmemaks (vallad)</t>
  </si>
  <si>
    <t>Liikmemaks ettevõtjad</t>
  </si>
  <si>
    <t>Liikmemaks MTÜ-d</t>
  </si>
  <si>
    <t xml:space="preserve">Reservfondist </t>
  </si>
  <si>
    <t>PRIA</t>
  </si>
  <si>
    <t>KOKKU KULUD</t>
  </si>
  <si>
    <t>Abikõlbmatud kulud (laenuintressid, autoliisingu intressid teenustasud, erisoodustusmaks, ettenägematud kulud)</t>
  </si>
  <si>
    <t>Reservfondi liikmemaksudest</t>
  </si>
  <si>
    <t>Projektide omafinantseering</t>
  </si>
  <si>
    <t>Kokku majandustegevuse muud kulud</t>
  </si>
  <si>
    <t>1. Rakenduskava jooksvad kulud</t>
  </si>
  <si>
    <t>personalikulud tegevmeeskond, juhatus</t>
  </si>
  <si>
    <t>üldhalduskulud, sõidukulud</t>
  </si>
  <si>
    <t>koolitused tegevmeeskonnale ja juhatusele, koosolekud, veebisüsteemi arendamine, raamatupidamine, sõiduki liising</t>
  </si>
  <si>
    <t>2. Rakenduskava elavdamiskulud</t>
  </si>
  <si>
    <t>2.4.</t>
  </si>
  <si>
    <t>2.5.</t>
  </si>
  <si>
    <t>Leader Liidu ja ELARDi liikmemaks</t>
  </si>
  <si>
    <t>Kokku rakenduskava kulud kokku meede 19.4</t>
  </si>
  <si>
    <t>Seletuskiri 2024. a eelarvele</t>
  </si>
  <si>
    <t>Liikmemaksud 2024</t>
  </si>
  <si>
    <t>vald</t>
  </si>
  <si>
    <r>
      <rPr>
        <b/>
        <sz val="12"/>
        <color rgb="FF000000"/>
        <rFont val="Arial"/>
        <family val="2"/>
      </rPr>
      <t>elanike arv rahvastikuregister (01.01.2023</t>
    </r>
    <r>
      <rPr>
        <b/>
        <sz val="12"/>
        <color rgb="FFDD0806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seisuga)</t>
    </r>
  </si>
  <si>
    <t>liikmemaks (0,58 EUR/in)</t>
  </si>
  <si>
    <t>Vallad kokku</t>
  </si>
  <si>
    <t>Ettevõtjad</t>
  </si>
  <si>
    <t>24*65</t>
  </si>
  <si>
    <t>MTÜd</t>
  </si>
  <si>
    <t>36*45</t>
  </si>
  <si>
    <t>Täiendav liikmemaks Elva vald ja Tartu vald seoses uute piirkondade liitumisega</t>
  </si>
  <si>
    <t>Kokku liikmemaks</t>
  </si>
  <si>
    <t>EUR</t>
  </si>
  <si>
    <t>Abikõlbmatud kulud</t>
  </si>
  <si>
    <t>Tartu 2024 kogukonnaprogramm, Interregi projektid, Leader projektid</t>
  </si>
  <si>
    <t>Tartumaa Noortefond</t>
  </si>
  <si>
    <t>Reservfondi liikmemaksude jääk</t>
  </si>
  <si>
    <t>Projektide planeeritavad kulud ja tulud 2024</t>
  </si>
  <si>
    <t>Projektid</t>
  </si>
  <si>
    <t>Seinäjoki projekt</t>
  </si>
  <si>
    <t>Tartumaa toiduvõrgustik</t>
  </si>
  <si>
    <t>e-RURAL Resilience</t>
  </si>
  <si>
    <t>River Networks, EST-LAT</t>
  </si>
  <si>
    <t>LIFE-RENOVERTY</t>
  </si>
  <si>
    <t>Lühikesed tarneahelad</t>
  </si>
  <si>
    <t>Kokku</t>
  </si>
  <si>
    <t>RTK-Võrtsjärve-Emajõe-Peipsi võrgustiku ja veetee arendamine</t>
  </si>
  <si>
    <t>3.7.</t>
  </si>
  <si>
    <t>TASi koduleht</t>
  </si>
  <si>
    <t>MEEDE 19.4, vana periood, 12 kuud</t>
  </si>
  <si>
    <t>2024 kokku, 12 kuud, jaanuar-detsember</t>
  </si>
  <si>
    <t>MEEDE 19.4, vana periood, jaanuar-detsember</t>
  </si>
  <si>
    <t>Muud abikõlblikud jooksvad kulud (koolitused tegevtöötajatele, juhatusele, koosolekute kulud, veebisüsteemi arendamise kulud)</t>
  </si>
  <si>
    <t>Omafinantseering</t>
  </si>
  <si>
    <t>Leader koostööprojekt</t>
  </si>
  <si>
    <t>Omafinantseeringu %</t>
  </si>
  <si>
    <t>Tartu 2024</t>
  </si>
  <si>
    <t>Leader ühisprojekt Tartumaa toidustrateegia rakendamiseks, toidu ajaloo uuring</t>
  </si>
  <si>
    <t>Planeeritavad kulud 2024</t>
  </si>
  <si>
    <t>Planeeritavad tulud 2024</t>
  </si>
  <si>
    <t>KOKKU</t>
  </si>
  <si>
    <t>TASi arendusprojektid</t>
  </si>
  <si>
    <t>6.</t>
  </si>
  <si>
    <t>7.</t>
  </si>
  <si>
    <t>8.</t>
  </si>
  <si>
    <t>9.</t>
  </si>
  <si>
    <t>10.</t>
  </si>
  <si>
    <t>11.</t>
  </si>
  <si>
    <t>Projekt</t>
  </si>
  <si>
    <t>Leader koostööprojekt "Lõuna-Eesti kogukonnaprogramm"</t>
  </si>
  <si>
    <t>Tartu 2024 Lõuna-Eesti kogukonnaprogramm</t>
  </si>
  <si>
    <t>Eelarve</t>
  </si>
  <si>
    <t>Teised fondid</t>
  </si>
  <si>
    <t>2024 12 kuud vana periood</t>
  </si>
  <si>
    <t>Vana eelarve 2024</t>
  </si>
  <si>
    <t>Pangateenused ja intressid, muud ettenägematud kulud, maksud, üldkulud, autoliising. Laenuleping sõlmitus MESiga.</t>
  </si>
  <si>
    <t>Eelarve ettepanek 2024</t>
  </si>
  <si>
    <t>Kommunikatsioonitegevuste elluviimine vastavalt TASi kommunikatsioonikavale (edulugude kajastamine tavameedias ja sotsiaalmeedias, eksperdi kaasamine, edulugude raamatu trükk)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</si>
</sst>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DD0806"/>
      <name val="Arial"/>
      <family val="2"/>
    </font>
    <font>
      <sz val="12"/>
      <color rgb="FF000000"/>
      <name val="Helvetica Neue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3" fontId="4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1" fontId="7" fillId="0" borderId="4" xfId="0" applyNumberFormat="1" applyFont="1" applyBorder="1" applyAlignment="1">
      <alignment vertical="top"/>
    </xf>
    <xf numFmtId="0" fontId="9" fillId="0" borderId="0" xfId="0" applyFont="1"/>
    <xf numFmtId="0" fontId="10" fillId="0" borderId="0" xfId="0" applyFont="1"/>
    <xf numFmtId="3" fontId="11" fillId="0" borderId="4" xfId="0" applyNumberFormat="1" applyFont="1" applyBorder="1" applyAlignment="1">
      <alignment vertical="top"/>
    </xf>
    <xf numFmtId="3" fontId="11" fillId="0" borderId="4" xfId="0" applyNumberFormat="1" applyFont="1" applyBorder="1" applyAlignment="1">
      <alignment horizontal="left" vertical="top"/>
    </xf>
    <xf numFmtId="3" fontId="9" fillId="0" borderId="4" xfId="0" applyNumberFormat="1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3" fontId="9" fillId="0" borderId="3" xfId="0" applyNumberFormat="1" applyFont="1" applyBorder="1" applyAlignment="1">
      <alignment vertical="top" wrapText="1"/>
    </xf>
    <xf numFmtId="0" fontId="7" fillId="0" borderId="5" xfId="0" applyFont="1" applyBorder="1"/>
    <xf numFmtId="0" fontId="10" fillId="0" borderId="0" xfId="0" applyFont="1" applyAlignment="1">
      <alignment vertical="top"/>
    </xf>
    <xf numFmtId="0" fontId="12" fillId="0" borderId="0" xfId="0" applyFont="1"/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9" fillId="0" borderId="5" xfId="0" applyFont="1" applyBorder="1"/>
    <xf numFmtId="0" fontId="7" fillId="0" borderId="3" xfId="0" applyFont="1" applyBorder="1"/>
    <xf numFmtId="0" fontId="7" fillId="0" borderId="8" xfId="0" applyFont="1" applyBorder="1"/>
    <xf numFmtId="0" fontId="9" fillId="0" borderId="4" xfId="0" applyFont="1" applyBorder="1" applyAlignment="1">
      <alignment wrapText="1"/>
    </xf>
    <xf numFmtId="2" fontId="9" fillId="0" borderId="8" xfId="0" applyNumberFormat="1" applyFont="1" applyBorder="1"/>
    <xf numFmtId="0" fontId="7" fillId="0" borderId="0" xfId="0" applyFont="1"/>
    <xf numFmtId="2" fontId="7" fillId="0" borderId="0" xfId="0" applyNumberFormat="1" applyFont="1"/>
    <xf numFmtId="0" fontId="9" fillId="0" borderId="8" xfId="0" applyFont="1" applyBorder="1"/>
    <xf numFmtId="0" fontId="7" fillId="0" borderId="9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4" xfId="0" applyFont="1" applyBorder="1"/>
    <xf numFmtId="3" fontId="7" fillId="0" borderId="0" xfId="0" applyNumberFormat="1" applyFont="1"/>
    <xf numFmtId="2" fontId="9" fillId="0" borderId="0" xfId="0" applyNumberFormat="1" applyFont="1"/>
    <xf numFmtId="0" fontId="9" fillId="0" borderId="4" xfId="0" applyFont="1" applyBorder="1"/>
    <xf numFmtId="1" fontId="7" fillId="0" borderId="4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6" fillId="0" borderId="5" xfId="0" applyFont="1" applyBorder="1"/>
    <xf numFmtId="0" fontId="6" fillId="0" borderId="4" xfId="0" applyFont="1" applyBorder="1"/>
    <xf numFmtId="1" fontId="6" fillId="0" borderId="4" xfId="0" applyNumberFormat="1" applyFont="1" applyBorder="1"/>
    <xf numFmtId="0" fontId="7" fillId="0" borderId="4" xfId="0" applyFont="1" applyBorder="1" applyAlignment="1">
      <alignment horizontal="right"/>
    </xf>
    <xf numFmtId="1" fontId="7" fillId="0" borderId="4" xfId="0" applyNumberFormat="1" applyFont="1" applyBorder="1"/>
    <xf numFmtId="0" fontId="7" fillId="0" borderId="4" xfId="0" applyFont="1" applyBorder="1"/>
    <xf numFmtId="0" fontId="7" fillId="0" borderId="3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" fontId="7" fillId="0" borderId="10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3" fontId="9" fillId="0" borderId="10" xfId="0" applyNumberFormat="1" applyFont="1" applyBorder="1" applyAlignment="1">
      <alignment vertical="top" wrapText="1"/>
    </xf>
    <xf numFmtId="3" fontId="10" fillId="0" borderId="0" xfId="0" applyNumberFormat="1" applyFont="1"/>
    <xf numFmtId="1" fontId="7" fillId="0" borderId="0" xfId="0" applyNumberFormat="1" applyFont="1"/>
    <xf numFmtId="0" fontId="7" fillId="0" borderId="5" xfId="0" applyFont="1" applyBorder="1" applyAlignment="1">
      <alignment horizontal="center" vertical="top"/>
    </xf>
    <xf numFmtId="1" fontId="6" fillId="0" borderId="5" xfId="0" applyNumberFormat="1" applyFont="1" applyBorder="1"/>
    <xf numFmtId="0" fontId="6" fillId="0" borderId="10" xfId="0" applyFont="1" applyBorder="1"/>
    <xf numFmtId="9" fontId="6" fillId="0" borderId="10" xfId="0" applyNumberFormat="1" applyFont="1" applyBorder="1"/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4" fontId="6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" fontId="7" fillId="0" borderId="0" xfId="0" applyNumberFormat="1" applyFont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0" fontId="8" fillId="2" borderId="5" xfId="0" applyFont="1" applyFill="1" applyBorder="1" applyAlignment="1">
      <alignment horizontal="center" vertical="top" wrapText="1"/>
    </xf>
    <xf numFmtId="3" fontId="11" fillId="2" borderId="5" xfId="0" applyNumberFormat="1" applyFont="1" applyFill="1" applyBorder="1" applyAlignment="1">
      <alignment vertical="top"/>
    </xf>
    <xf numFmtId="3" fontId="9" fillId="2" borderId="5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3" fontId="9" fillId="2" borderId="1" xfId="0" applyNumberFormat="1" applyFont="1" applyFill="1" applyBorder="1" applyAlignment="1">
      <alignment vertical="top"/>
    </xf>
    <xf numFmtId="0" fontId="9" fillId="0" borderId="5" xfId="0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1" fillId="2" borderId="5" xfId="0" applyNumberFormat="1" applyFont="1" applyFill="1" applyBorder="1" applyAlignment="1">
      <alignment vertical="top"/>
    </xf>
    <xf numFmtId="4" fontId="10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3" fillId="0" borderId="2" xfId="0" applyFont="1" applyBorder="1"/>
    <xf numFmtId="0" fontId="2" fillId="0" borderId="0" xfId="0" applyFont="1" applyAlignment="1">
      <alignment horizontal="center" vertical="top" wrapText="1"/>
    </xf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3" fillId="0" borderId="7" xfId="0" applyFont="1" applyBorder="1"/>
    <xf numFmtId="0" fontId="8" fillId="0" borderId="6" xfId="0" applyFont="1" applyBorder="1" applyAlignment="1">
      <alignment vertical="top" wrapText="1"/>
    </xf>
    <xf numFmtId="0" fontId="3" fillId="0" borderId="6" xfId="0" applyFont="1" applyBorder="1"/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7" fillId="0" borderId="5" xfId="0" applyFont="1" applyBorder="1"/>
    <xf numFmtId="0" fontId="7" fillId="0" borderId="5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1"/>
  <sheetViews>
    <sheetView zoomScale="120" zoomScaleNormal="120" workbookViewId="0">
      <selection activeCell="D45" sqref="D45"/>
    </sheetView>
  </sheetViews>
  <sheetFormatPr baseColWidth="10" defaultColWidth="14.3984375" defaultRowHeight="15" customHeight="1" outlineLevelRow="1" x14ac:dyDescent="0.2"/>
  <cols>
    <col min="1" max="1" width="6.796875" customWidth="1"/>
    <col min="2" max="2" width="48.59765625" customWidth="1"/>
    <col min="3" max="3" width="12" customWidth="1"/>
    <col min="4" max="4" width="17.19921875" customWidth="1"/>
    <col min="5" max="17" width="10" customWidth="1"/>
  </cols>
  <sheetData>
    <row r="1" spans="1:17" ht="12.75" customHeight="1" x14ac:dyDescent="0.2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2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9.25" customHeight="1" x14ac:dyDescent="0.2">
      <c r="A3" s="1"/>
      <c r="B3" s="3"/>
      <c r="C3" s="109" t="s">
        <v>1</v>
      </c>
      <c r="D3" s="1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41.25" customHeight="1" x14ac:dyDescent="0.2">
      <c r="A4" s="4" t="s">
        <v>2</v>
      </c>
      <c r="B4" s="5" t="s">
        <v>3</v>
      </c>
      <c r="C4" s="4" t="s">
        <v>4</v>
      </c>
      <c r="D4" s="4" t="s">
        <v>162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.75" customHeight="1" x14ac:dyDescent="0.2">
      <c r="A5" s="8" t="s">
        <v>5</v>
      </c>
      <c r="B5" s="9" t="s">
        <v>6</v>
      </c>
      <c r="C5" s="10">
        <f t="shared" ref="C5:D5" si="0">C6+C12</f>
        <v>7917.25</v>
      </c>
      <c r="D5" s="10">
        <f t="shared" si="0"/>
        <v>108021</v>
      </c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3.5" hidden="1" customHeight="1" outlineLevel="1" x14ac:dyDescent="0.2">
      <c r="A6" s="8" t="s">
        <v>7</v>
      </c>
      <c r="B6" s="12" t="s">
        <v>8</v>
      </c>
      <c r="C6" s="13">
        <f>SUM(C7:C10)</f>
        <v>6188.25</v>
      </c>
      <c r="D6" s="14">
        <f>SUM(D7:D11)</f>
        <v>83259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3.5" hidden="1" customHeight="1" outlineLevel="1" x14ac:dyDescent="0.2">
      <c r="A7" s="8" t="s">
        <v>9</v>
      </c>
      <c r="B7" s="16" t="s">
        <v>10</v>
      </c>
      <c r="C7" s="13">
        <v>2660</v>
      </c>
      <c r="D7" s="13">
        <f>C7*12</f>
        <v>31920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7.75" hidden="1" customHeight="1" outlineLevel="1" x14ac:dyDescent="0.2">
      <c r="A8" s="8" t="s">
        <v>11</v>
      </c>
      <c r="B8" s="16" t="s">
        <v>12</v>
      </c>
      <c r="C8" s="13">
        <f>C7*0.338</f>
        <v>899.08</v>
      </c>
      <c r="D8" s="13">
        <f>C8*12</f>
        <v>10788.960000000001</v>
      </c>
      <c r="E8" s="1"/>
      <c r="F8" s="1"/>
      <c r="G8" s="1"/>
      <c r="H8" s="17"/>
      <c r="I8" s="17"/>
      <c r="J8" s="1"/>
      <c r="K8" s="1"/>
      <c r="L8" s="1"/>
      <c r="M8" s="1"/>
      <c r="N8" s="1"/>
      <c r="O8" s="1"/>
      <c r="P8" s="1"/>
      <c r="Q8" s="1"/>
    </row>
    <row r="9" spans="1:17" ht="27.75" hidden="1" customHeight="1" outlineLevel="1" x14ac:dyDescent="0.2">
      <c r="A9" s="8" t="s">
        <v>13</v>
      </c>
      <c r="B9" s="16" t="s">
        <v>14</v>
      </c>
      <c r="C9" s="13">
        <v>1965</v>
      </c>
      <c r="D9" s="13">
        <f>C9*12</f>
        <v>23580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7.75" hidden="1" customHeight="1" outlineLevel="1" x14ac:dyDescent="0.2">
      <c r="A10" s="8" t="s">
        <v>15</v>
      </c>
      <c r="B10" s="16" t="s">
        <v>16</v>
      </c>
      <c r="C10" s="13">
        <f>C9*0.338</f>
        <v>664.17000000000007</v>
      </c>
      <c r="D10" s="13">
        <f>C10*12</f>
        <v>7970.0400000000009</v>
      </c>
      <c r="E10" s="1"/>
      <c r="F10" s="1"/>
      <c r="G10" s="1"/>
      <c r="H10" s="1"/>
      <c r="I10" s="17"/>
      <c r="J10" s="1"/>
      <c r="K10" s="1"/>
      <c r="L10" s="1"/>
      <c r="M10" s="1"/>
      <c r="N10" s="1"/>
      <c r="O10" s="1"/>
      <c r="P10" s="1"/>
      <c r="Q10" s="1"/>
    </row>
    <row r="11" spans="1:17" ht="15.75" hidden="1" customHeight="1" outlineLevel="1" x14ac:dyDescent="0.2">
      <c r="A11" s="8" t="s">
        <v>17</v>
      </c>
      <c r="B11" s="16" t="s">
        <v>18</v>
      </c>
      <c r="C11" s="13"/>
      <c r="D11" s="13">
        <v>9000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" hidden="1" outlineLevel="1" x14ac:dyDescent="0.2">
      <c r="A12" s="8" t="s">
        <v>19</v>
      </c>
      <c r="B12" s="12" t="s">
        <v>20</v>
      </c>
      <c r="C12" s="13">
        <f t="shared" ref="C12:D12" si="1">SUM(C13:C20)</f>
        <v>1729</v>
      </c>
      <c r="D12" s="14">
        <f t="shared" si="1"/>
        <v>24762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8" hidden="1" outlineLevel="1" x14ac:dyDescent="0.2">
      <c r="A13" s="8" t="s">
        <v>21</v>
      </c>
      <c r="B13" s="16" t="s">
        <v>22</v>
      </c>
      <c r="C13" s="13">
        <v>400</v>
      </c>
      <c r="D13" s="13">
        <f t="shared" ref="D13:D18" si="2">C13*12</f>
        <v>4800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" hidden="1" outlineLevel="1" x14ac:dyDescent="0.2">
      <c r="A14" s="8" t="s">
        <v>23</v>
      </c>
      <c r="B14" s="16" t="s">
        <v>24</v>
      </c>
      <c r="C14" s="13">
        <f>C13*0.33</f>
        <v>132</v>
      </c>
      <c r="D14" s="13">
        <f t="shared" si="2"/>
        <v>1584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8" hidden="1" outlineLevel="1" x14ac:dyDescent="0.2">
      <c r="A15" s="8" t="s">
        <v>25</v>
      </c>
      <c r="B15" s="16" t="s">
        <v>26</v>
      </c>
      <c r="C15" s="13">
        <v>200</v>
      </c>
      <c r="D15" s="13">
        <f t="shared" si="2"/>
        <v>2400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" hidden="1" outlineLevel="1" x14ac:dyDescent="0.2">
      <c r="A16" s="8" t="s">
        <v>27</v>
      </c>
      <c r="B16" s="16" t="s">
        <v>28</v>
      </c>
      <c r="C16" s="13">
        <f>C15*0.33</f>
        <v>66</v>
      </c>
      <c r="D16" s="13">
        <f t="shared" si="2"/>
        <v>792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7.75" hidden="1" customHeight="1" outlineLevel="1" x14ac:dyDescent="0.2">
      <c r="A17" s="8" t="s">
        <v>29</v>
      </c>
      <c r="B17" s="16" t="s">
        <v>30</v>
      </c>
      <c r="C17" s="13">
        <v>700</v>
      </c>
      <c r="D17" s="13">
        <f t="shared" si="2"/>
        <v>8400</v>
      </c>
      <c r="E17" s="1"/>
      <c r="F17" s="1"/>
      <c r="G17" s="1"/>
      <c r="H17" s="1"/>
      <c r="I17" s="17"/>
      <c r="J17" s="1"/>
      <c r="K17" s="1"/>
      <c r="L17" s="1"/>
      <c r="M17" s="1"/>
      <c r="N17" s="1"/>
      <c r="O17" s="1"/>
      <c r="P17" s="1"/>
      <c r="Q17" s="1"/>
    </row>
    <row r="18" spans="1:17" ht="13.5" hidden="1" customHeight="1" outlineLevel="1" x14ac:dyDescent="0.2">
      <c r="A18" s="8" t="s">
        <v>31</v>
      </c>
      <c r="B18" s="16" t="s">
        <v>32</v>
      </c>
      <c r="C18" s="13">
        <f>C17*0.33</f>
        <v>231</v>
      </c>
      <c r="D18" s="13">
        <f t="shared" si="2"/>
        <v>2772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42" hidden="1" customHeight="1" outlineLevel="1" x14ac:dyDescent="0.2">
      <c r="A19" s="8" t="s">
        <v>33</v>
      </c>
      <c r="B19" s="16" t="s">
        <v>34</v>
      </c>
      <c r="C19" s="13"/>
      <c r="D19" s="13">
        <f>(15*200)</f>
        <v>3000</v>
      </c>
      <c r="E19" s="1"/>
      <c r="F19" s="1"/>
      <c r="G19" s="1"/>
      <c r="H19" s="1"/>
      <c r="I19" s="1"/>
      <c r="J19" s="17"/>
      <c r="K19" s="1"/>
      <c r="L19" s="1"/>
      <c r="M19" s="1"/>
      <c r="N19" s="1"/>
      <c r="O19" s="1"/>
      <c r="P19" s="1"/>
      <c r="Q19" s="1"/>
    </row>
    <row r="20" spans="1:17" ht="28" hidden="1" outlineLevel="1" x14ac:dyDescent="0.2">
      <c r="A20" s="8" t="s">
        <v>35</v>
      </c>
      <c r="B20" s="16" t="s">
        <v>36</v>
      </c>
      <c r="C20" s="13"/>
      <c r="D20" s="13">
        <f>D19*0.338</f>
        <v>1014.0000000000001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8" collapsed="1" x14ac:dyDescent="0.2">
      <c r="A21" s="8" t="s">
        <v>37</v>
      </c>
      <c r="B21" s="16" t="s">
        <v>38</v>
      </c>
      <c r="C21" s="14">
        <f>SUM(C22:C35)</f>
        <v>1880</v>
      </c>
      <c r="D21" s="14">
        <f>D22+D31+D35</f>
        <v>21604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7.75" hidden="1" customHeight="1" outlineLevel="1" x14ac:dyDescent="0.2">
      <c r="A22" s="8" t="s">
        <v>39</v>
      </c>
      <c r="B22" s="12" t="s">
        <v>40</v>
      </c>
      <c r="C22" s="13"/>
      <c r="D22" s="13">
        <f>SUM(D23:D30)</f>
        <v>16820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3.5" hidden="1" customHeight="1" outlineLevel="1" x14ac:dyDescent="0.2">
      <c r="A23" s="8" t="s">
        <v>41</v>
      </c>
      <c r="B23" s="12" t="s">
        <v>42</v>
      </c>
      <c r="C23" s="13">
        <v>60</v>
      </c>
      <c r="D23" s="13">
        <f>C23*12</f>
        <v>720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3.5" hidden="1" customHeight="1" outlineLevel="1" x14ac:dyDescent="0.2">
      <c r="A24" s="8" t="s">
        <v>43</v>
      </c>
      <c r="B24" s="12" t="s">
        <v>44</v>
      </c>
      <c r="C24" s="13">
        <v>550</v>
      </c>
      <c r="D24" s="13">
        <f>C24*12</f>
        <v>6600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3.5" hidden="1" customHeight="1" outlineLevel="1" x14ac:dyDescent="0.2">
      <c r="A25" s="8" t="s">
        <v>45</v>
      </c>
      <c r="B25" s="12" t="s">
        <v>46</v>
      </c>
      <c r="C25" s="13">
        <v>200</v>
      </c>
      <c r="D25" s="13">
        <f>C25*12</f>
        <v>2400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3.5" hidden="1" customHeight="1" outlineLevel="1" x14ac:dyDescent="0.2">
      <c r="A26" s="8" t="s">
        <v>47</v>
      </c>
      <c r="B26" s="12" t="s">
        <v>48</v>
      </c>
      <c r="C26" s="13">
        <v>50</v>
      </c>
      <c r="D26" s="13">
        <f>C26*6</f>
        <v>300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3.5" hidden="1" customHeight="1" outlineLevel="1" x14ac:dyDescent="0.2">
      <c r="A27" s="8" t="s">
        <v>49</v>
      </c>
      <c r="B27" s="12" t="s">
        <v>50</v>
      </c>
      <c r="C27" s="13"/>
      <c r="D27" s="13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3.5" hidden="1" customHeight="1" outlineLevel="1" x14ac:dyDescent="0.2">
      <c r="A28" s="8" t="s">
        <v>51</v>
      </c>
      <c r="B28" s="12" t="s">
        <v>52</v>
      </c>
      <c r="C28" s="13">
        <v>300</v>
      </c>
      <c r="D28" s="13">
        <f>C28*12</f>
        <v>3600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3.5" hidden="1" customHeight="1" outlineLevel="1" x14ac:dyDescent="0.2">
      <c r="A29" s="8" t="s">
        <v>53</v>
      </c>
      <c r="B29" s="12" t="s">
        <v>54</v>
      </c>
      <c r="C29" s="13">
        <v>200</v>
      </c>
      <c r="D29" s="13">
        <f>C29*10</f>
        <v>2000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3.5" hidden="1" customHeight="1" outlineLevel="1" x14ac:dyDescent="0.2">
      <c r="A30" s="8" t="s">
        <v>55</v>
      </c>
      <c r="B30" s="12" t="s">
        <v>56</v>
      </c>
      <c r="C30" s="13">
        <v>100</v>
      </c>
      <c r="D30" s="13">
        <f>C30*12</f>
        <v>1200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3.5" hidden="1" customHeight="1" outlineLevel="1" x14ac:dyDescent="0.2">
      <c r="A31" s="8" t="s">
        <v>57</v>
      </c>
      <c r="B31" s="12" t="s">
        <v>58</v>
      </c>
      <c r="C31" s="13"/>
      <c r="D31" s="13">
        <f>SUM(D32:D34)</f>
        <v>4720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3.5" hidden="1" customHeight="1" outlineLevel="1" x14ac:dyDescent="0.2">
      <c r="A32" s="8" t="s">
        <v>59</v>
      </c>
      <c r="B32" s="12" t="s">
        <v>60</v>
      </c>
      <c r="C32" s="13">
        <v>200</v>
      </c>
      <c r="D32" s="13">
        <f>C32*12</f>
        <v>2400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" hidden="1" outlineLevel="1" x14ac:dyDescent="0.2">
      <c r="A33" s="8" t="s">
        <v>61</v>
      </c>
      <c r="B33" s="12" t="s">
        <v>62</v>
      </c>
      <c r="C33" s="13">
        <v>60</v>
      </c>
      <c r="D33" s="13">
        <f>C33*12</f>
        <v>720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3.5" hidden="1" customHeight="1" outlineLevel="1" x14ac:dyDescent="0.2">
      <c r="A34" s="8" t="s">
        <v>63</v>
      </c>
      <c r="B34" s="12" t="s">
        <v>64</v>
      </c>
      <c r="C34" s="13">
        <v>160</v>
      </c>
      <c r="D34" s="13">
        <f>C34*10</f>
        <v>1600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" hidden="1" outlineLevel="1" x14ac:dyDescent="0.2">
      <c r="A35" s="8" t="s">
        <v>65</v>
      </c>
      <c r="B35" s="12" t="s">
        <v>66</v>
      </c>
      <c r="C35" s="13"/>
      <c r="D35" s="13">
        <v>64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" collapsed="1" x14ac:dyDescent="0.2">
      <c r="A36" s="8" t="s">
        <v>67</v>
      </c>
      <c r="B36" s="12" t="s">
        <v>68</v>
      </c>
      <c r="C36" s="14">
        <f t="shared" ref="C36:D36" si="3">SUM(C37:C42)</f>
        <v>857</v>
      </c>
      <c r="D36" s="14">
        <f t="shared" si="3"/>
        <v>20004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70" hidden="1" outlineLevel="1" x14ac:dyDescent="0.2">
      <c r="A37" s="8" t="s">
        <v>69</v>
      </c>
      <c r="B37" s="16" t="s">
        <v>70</v>
      </c>
      <c r="C37" s="13">
        <v>557</v>
      </c>
      <c r="D37" s="13">
        <f>(C37*6+1054)+668*6</f>
        <v>8404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" hidden="1" outlineLevel="1" x14ac:dyDescent="0.2">
      <c r="A38" s="8" t="s">
        <v>71</v>
      </c>
      <c r="B38" s="16" t="s">
        <v>72</v>
      </c>
      <c r="C38" s="13">
        <v>300</v>
      </c>
      <c r="D38" s="13">
        <f>C38*12</f>
        <v>3600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" hidden="1" outlineLevel="1" x14ac:dyDescent="0.2">
      <c r="A39" s="8" t="s">
        <v>73</v>
      </c>
      <c r="B39" s="12" t="s">
        <v>74</v>
      </c>
      <c r="C39" s="13">
        <v>0</v>
      </c>
      <c r="D39" s="13">
        <f t="shared" ref="D39" si="4">C39*6</f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" hidden="1" outlineLevel="1" x14ac:dyDescent="0.2">
      <c r="A40" s="8" t="s">
        <v>75</v>
      </c>
      <c r="B40" s="12" t="s">
        <v>76</v>
      </c>
      <c r="C40" s="13"/>
      <c r="D40" s="13">
        <v>3000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28" hidden="1" outlineLevel="1" x14ac:dyDescent="0.2">
      <c r="A41" s="8" t="s">
        <v>77</v>
      </c>
      <c r="B41" s="16" t="s">
        <v>78</v>
      </c>
      <c r="C41" s="13"/>
      <c r="D41" s="13">
        <v>2500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8" hidden="1" outlineLevel="1" x14ac:dyDescent="0.2">
      <c r="A42" s="8" t="s">
        <v>79</v>
      </c>
      <c r="B42" s="12" t="s">
        <v>80</v>
      </c>
      <c r="C42" s="13"/>
      <c r="D42" s="13">
        <v>2500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" hidden="1" outlineLevel="1" x14ac:dyDescent="0.2">
      <c r="A43" s="8" t="s">
        <v>159</v>
      </c>
      <c r="B43" s="12" t="s">
        <v>160</v>
      </c>
      <c r="C43" s="13"/>
      <c r="D43" s="13">
        <v>4000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 customHeight="1" collapsed="1" x14ac:dyDescent="0.2">
      <c r="A44" s="20"/>
      <c r="B44" s="21" t="s">
        <v>81</v>
      </c>
      <c r="C44" s="14">
        <f>C5+C21+C36</f>
        <v>10654.25</v>
      </c>
      <c r="D44" s="14">
        <f>D5+D21+D36</f>
        <v>149629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 customHeight="1" x14ac:dyDescent="0.2">
      <c r="A45" s="1"/>
      <c r="B45" s="2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 x14ac:dyDescent="0.2">
      <c r="A46" s="1"/>
      <c r="B46" s="2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 x14ac:dyDescent="0.2">
      <c r="A47" s="1"/>
      <c r="B47" s="1"/>
      <c r="C47" s="23"/>
      <c r="D47" s="2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 x14ac:dyDescent="0.2">
      <c r="A48" s="1"/>
      <c r="B48" s="1"/>
      <c r="C48" s="1"/>
      <c r="D48" s="2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 x14ac:dyDescent="0.2">
      <c r="A53" s="1"/>
      <c r="B53" s="1"/>
      <c r="C53" s="1"/>
      <c r="D53" s="2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</sheetData>
  <mergeCells count="1">
    <mergeCell ref="C3:D3"/>
  </mergeCells>
  <pageMargins left="0.7" right="0.7" top="0.75" bottom="0.75" header="0" footer="0"/>
  <pageSetup orientation="landscape"/>
  <headerFooter>
    <oddFooter>&amp;C&amp;P</oddFooter>
  </headerFooter>
  <ignoredErrors>
    <ignoredError sqref="D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94"/>
  <sheetViews>
    <sheetView zoomScale="120" zoomScaleNormal="120" workbookViewId="0">
      <selection activeCell="B23" sqref="B23"/>
    </sheetView>
  </sheetViews>
  <sheetFormatPr baseColWidth="10" defaultColWidth="14.3984375" defaultRowHeight="15" customHeight="1" outlineLevelRow="1" x14ac:dyDescent="0.2"/>
  <cols>
    <col min="1" max="1" width="5" customWidth="1"/>
    <col min="2" max="2" width="46.3984375" customWidth="1"/>
    <col min="3" max="3" width="7" customWidth="1"/>
    <col min="4" max="4" width="15.19921875" customWidth="1"/>
    <col min="5" max="6" width="10" customWidth="1"/>
    <col min="7" max="7" width="21.19921875" customWidth="1"/>
    <col min="8" max="19" width="10" customWidth="1"/>
  </cols>
  <sheetData>
    <row r="1" spans="1:19" ht="14" x14ac:dyDescent="0.2">
      <c r="A1" s="1"/>
      <c r="B1" s="111" t="s">
        <v>82</v>
      </c>
      <c r="C1" s="112"/>
      <c r="D1" s="1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3" customHeight="1" x14ac:dyDescent="0.2">
      <c r="A2" s="1"/>
      <c r="B2" s="1"/>
      <c r="C2" s="113" t="s">
        <v>163</v>
      </c>
      <c r="D2" s="11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8" x14ac:dyDescent="0.2">
      <c r="A3" s="12" t="s">
        <v>2</v>
      </c>
      <c r="B3" s="5" t="s">
        <v>3</v>
      </c>
      <c r="C3" s="4" t="s">
        <v>83</v>
      </c>
      <c r="D3" s="4" t="s">
        <v>185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7.75" customHeight="1" x14ac:dyDescent="0.2">
      <c r="A4" s="12" t="s">
        <v>5</v>
      </c>
      <c r="B4" s="16" t="s">
        <v>84</v>
      </c>
      <c r="C4" s="19">
        <f t="shared" ref="C4" si="0">SUM(C5:C10)</f>
        <v>5218.2000000000007</v>
      </c>
      <c r="D4" s="24">
        <f>SUM(D5:D10)</f>
        <v>54159.6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3.5" hidden="1" customHeight="1" outlineLevel="1" x14ac:dyDescent="0.2">
      <c r="A5" s="12" t="s">
        <v>7</v>
      </c>
      <c r="B5" s="16" t="s">
        <v>14</v>
      </c>
      <c r="C5" s="19">
        <v>1700</v>
      </c>
      <c r="D5" s="12">
        <f>(C5*6)+(C5/2*6)</f>
        <v>15300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7.75" hidden="1" customHeight="1" outlineLevel="1" x14ac:dyDescent="0.2">
      <c r="A6" s="12" t="s">
        <v>19</v>
      </c>
      <c r="B6" s="16" t="s">
        <v>85</v>
      </c>
      <c r="C6" s="19">
        <f>C5*0.338</f>
        <v>574.6</v>
      </c>
      <c r="D6" s="12">
        <f>(C6*6)+(C6/2*6)</f>
        <v>5171.4000000000005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7.75" hidden="1" customHeight="1" outlineLevel="1" x14ac:dyDescent="0.2">
      <c r="A7" s="12" t="s">
        <v>86</v>
      </c>
      <c r="B7" s="16" t="s">
        <v>87</v>
      </c>
      <c r="C7" s="19">
        <v>2200</v>
      </c>
      <c r="D7" s="12">
        <f>(C7*12)/2</f>
        <v>13200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.75" hidden="1" customHeight="1" outlineLevel="1" x14ac:dyDescent="0.2">
      <c r="A8" s="12" t="s">
        <v>88</v>
      </c>
      <c r="B8" s="16" t="s">
        <v>89</v>
      </c>
      <c r="C8" s="19">
        <f>C7*0.338</f>
        <v>743.6</v>
      </c>
      <c r="D8" s="12">
        <f>(C8*12)/2</f>
        <v>4461.6000000000004</v>
      </c>
      <c r="E8" s="1"/>
      <c r="F8" s="1"/>
      <c r="G8" s="1"/>
      <c r="H8" s="23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8" hidden="1" outlineLevel="1" x14ac:dyDescent="0.2">
      <c r="A9" s="12" t="s">
        <v>90</v>
      </c>
      <c r="B9" s="16" t="s">
        <v>91</v>
      </c>
      <c r="C9" s="19"/>
      <c r="D9" s="25">
        <v>7000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" hidden="1" outlineLevel="1" x14ac:dyDescent="0.2">
      <c r="A10" s="12" t="s">
        <v>92</v>
      </c>
      <c r="B10" s="16" t="s">
        <v>93</v>
      </c>
      <c r="C10" s="19"/>
      <c r="D10" s="25">
        <f>(D5+D6+D7+D8+D9)*0.2</f>
        <v>9026.6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42" collapsed="1" x14ac:dyDescent="0.2">
      <c r="A11" s="12" t="s">
        <v>37</v>
      </c>
      <c r="B11" s="12" t="s">
        <v>94</v>
      </c>
      <c r="C11" s="12"/>
      <c r="D11" s="12">
        <v>2500</v>
      </c>
      <c r="E11" s="1"/>
      <c r="F11" s="1"/>
      <c r="G11" s="1"/>
      <c r="H11" s="2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8" x14ac:dyDescent="0.2">
      <c r="A12" s="12" t="s">
        <v>67</v>
      </c>
      <c r="B12" s="13" t="s">
        <v>96</v>
      </c>
      <c r="C12" s="13"/>
      <c r="D12" s="12">
        <v>4500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" x14ac:dyDescent="0.2">
      <c r="A13" s="12" t="s">
        <v>95</v>
      </c>
      <c r="B13" s="13" t="s">
        <v>98</v>
      </c>
      <c r="C13" s="13"/>
      <c r="D13" s="25">
        <f>21076-499.94</f>
        <v>20576.060000000001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5" customHeight="1" x14ac:dyDescent="0.2">
      <c r="A14" s="12" t="s">
        <v>97</v>
      </c>
      <c r="B14" s="16" t="s">
        <v>99</v>
      </c>
      <c r="C14" s="16"/>
      <c r="D14" s="8">
        <v>4987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5" customHeight="1" x14ac:dyDescent="0.2">
      <c r="A15" s="12"/>
      <c r="B15" s="20" t="s">
        <v>100</v>
      </c>
      <c r="C15" s="20"/>
      <c r="D15" s="26">
        <f t="shared" ref="D15" si="1">D4+D11+D12+D13+D14</f>
        <v>86722.66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</sheetData>
  <mergeCells count="2">
    <mergeCell ref="B1:D1"/>
    <mergeCell ref="C2:D2"/>
  </mergeCells>
  <pageMargins left="0.7" right="0.7" top="0.75" bottom="0.75" header="0" footer="0"/>
  <pageSetup orientation="landscape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00"/>
  <sheetViews>
    <sheetView topLeftCell="A4" workbookViewId="0">
      <selection activeCell="J15" sqref="J15"/>
    </sheetView>
  </sheetViews>
  <sheetFormatPr baseColWidth="10" defaultColWidth="14.3984375" defaultRowHeight="15" customHeight="1" x14ac:dyDescent="0.2"/>
  <cols>
    <col min="1" max="1" width="59.19921875" customWidth="1"/>
    <col min="2" max="2" width="22.3984375" customWidth="1"/>
    <col min="3" max="22" width="10" customWidth="1"/>
  </cols>
  <sheetData>
    <row r="1" spans="1:24" ht="18" x14ac:dyDescent="0.2">
      <c r="A1" s="27" t="s">
        <v>101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51" x14ac:dyDescent="0.2">
      <c r="A2" s="28"/>
      <c r="B2" s="72" t="s">
        <v>161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6" x14ac:dyDescent="0.2">
      <c r="A3" s="73" t="s">
        <v>102</v>
      </c>
      <c r="B3" s="74">
        <f t="shared" ref="B3" si="0">SUM(B4:B6)</f>
        <v>149629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4" x14ac:dyDescent="0.2">
      <c r="A4" s="75" t="s">
        <v>103</v>
      </c>
      <c r="B4" s="76">
        <f>'jooksvad kulud 2024'!D5</f>
        <v>108021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51" x14ac:dyDescent="0.2">
      <c r="A5" s="77" t="s">
        <v>104</v>
      </c>
      <c r="B5" s="76">
        <f>'jooksvad kulud 2024'!D21</f>
        <v>21604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51" x14ac:dyDescent="0.2">
      <c r="A6" s="78" t="s">
        <v>164</v>
      </c>
      <c r="B6" s="76">
        <f>'jooksvad kulud 2024'!D36</f>
        <v>20004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7" x14ac:dyDescent="0.2">
      <c r="A7" s="79" t="s">
        <v>105</v>
      </c>
      <c r="B7" s="80">
        <f t="shared" ref="B7" si="1">SUM(B8:B12)</f>
        <v>86722.66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34" x14ac:dyDescent="0.2">
      <c r="A8" s="77" t="s">
        <v>106</v>
      </c>
      <c r="B8" s="81">
        <f>'elavdamiskulud 2024'!D4</f>
        <v>54159.6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51" x14ac:dyDescent="0.2">
      <c r="A9" s="78" t="s">
        <v>94</v>
      </c>
      <c r="B9" s="82">
        <f>'elavdamiskulud 2024'!D11</f>
        <v>2500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85" x14ac:dyDescent="0.2">
      <c r="A10" s="83" t="s">
        <v>107</v>
      </c>
      <c r="B10" s="82">
        <f>'elavdamiskulud 2024'!D12</f>
        <v>4500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34" x14ac:dyDescent="0.2">
      <c r="A11" s="83" t="s">
        <v>108</v>
      </c>
      <c r="B11" s="82">
        <f>'elavdamiskulud 2024'!D13</f>
        <v>20576.060000000001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7" x14ac:dyDescent="0.2">
      <c r="A12" s="77" t="s">
        <v>99</v>
      </c>
      <c r="B12" s="81">
        <f>'elavdamiskulud 2024'!D14</f>
        <v>4987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6" x14ac:dyDescent="0.2">
      <c r="A13" s="73" t="s">
        <v>109</v>
      </c>
      <c r="B13" s="106">
        <f t="shared" ref="B13" si="2">B3+B7</f>
        <v>236351.66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2.7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6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2.7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2.7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2.7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2.75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2.7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2.75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2.7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2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2.7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2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2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2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2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2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2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2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2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2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2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2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2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2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2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2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2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2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2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2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2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2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2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2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2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2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2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2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2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2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2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2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2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2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2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2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2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2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2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2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2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2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2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2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2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2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2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2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2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2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2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2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2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2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2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2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2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2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2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2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2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2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2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2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2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2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2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2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2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2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2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2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2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2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2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2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2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2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2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2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2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2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2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2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2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2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2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2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2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2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2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2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2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2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2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2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2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2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2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2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2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2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2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2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2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2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2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2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2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2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2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2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2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2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2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2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2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2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2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2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2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2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2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2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2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2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2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2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2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2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2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2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2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2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2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2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2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2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2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2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2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2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2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2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2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2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2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2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2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2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2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2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2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2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2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2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2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2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2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2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2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2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2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2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2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2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2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2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2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2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2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2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2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2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2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2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2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2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2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2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2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2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2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2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2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2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2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2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2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2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2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2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2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2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2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2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2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2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2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2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2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2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2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2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2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2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2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2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2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2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2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2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2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2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2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2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2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2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2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2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2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2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2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2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2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2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2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2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2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2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2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2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2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2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2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2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2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2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2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2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2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2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2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2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2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2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2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2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2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2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2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2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2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2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2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2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2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2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2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2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2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2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2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2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2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2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2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2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2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2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2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2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2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2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2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2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2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2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2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2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2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2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2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2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2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2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2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2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2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2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2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2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2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2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2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2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2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2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2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2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2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2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2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2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2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2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2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2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2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2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2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2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2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2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2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2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2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2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2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2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2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2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2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2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2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2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2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2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2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2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2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2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2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2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2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2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2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2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2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2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2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2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2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2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2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2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2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2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2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2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2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2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2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2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2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2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2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2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2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2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2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2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2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2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2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2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2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2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2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2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2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2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2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2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2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2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2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2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2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2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2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2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2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2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2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2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2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2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2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2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2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2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2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2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2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2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2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2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2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2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2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2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2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2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2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2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2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2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2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2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2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2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2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2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2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2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2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2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2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2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2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2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2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2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2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2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2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2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2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2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2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2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2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2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2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2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2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2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2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2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2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2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2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2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2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2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2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2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2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2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2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2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2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2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2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2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2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2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2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2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2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2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2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2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2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2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2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2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2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2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2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2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2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2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2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2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2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2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2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2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2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2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2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2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2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2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2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2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2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2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2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2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2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2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2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2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2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2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2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2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2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2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2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2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2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2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2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2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2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2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2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2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2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2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2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2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2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2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2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2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2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2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2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2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2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2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2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2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2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2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2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2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2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2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2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2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2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2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2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2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2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2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2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2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2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2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2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2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2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2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2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2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2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2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2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2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2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2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2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2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2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2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2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2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2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2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2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2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2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2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2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2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2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2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2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2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2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2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2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2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2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2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2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2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2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2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2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2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2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2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2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2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2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2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2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2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2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2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2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2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2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2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2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2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2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2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2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2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2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2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2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2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2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2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2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2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2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2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2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2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2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2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2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2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2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2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2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2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2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2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2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2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2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2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2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2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2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2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2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2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2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2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2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2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2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2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2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2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2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2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2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2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2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2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2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2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2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2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2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2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2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2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2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2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2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2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2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2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2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2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2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2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2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2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2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2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2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2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2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2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2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2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2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2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2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2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2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2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2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2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2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2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2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2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2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2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2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2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2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2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2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2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2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2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2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2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2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2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2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2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2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2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2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2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2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2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2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2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2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2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2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2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2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2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2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2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2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2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2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2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2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2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2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2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2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2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2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2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2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2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2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2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2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2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2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2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2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2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2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2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2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2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2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2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2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2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2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2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2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2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2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2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2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2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2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2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2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2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2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2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2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2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2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2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2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2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2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2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2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2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2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2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2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2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2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2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2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2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2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2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2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2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2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2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2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2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2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2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2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2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2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2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2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2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2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2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2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2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2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2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2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2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2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2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2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2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2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2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2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2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2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2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2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2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2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2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2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2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2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2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2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2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2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2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2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2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2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2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2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2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2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2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2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2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2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2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2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2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2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2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2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2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2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2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2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ht="12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ht="12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ht="12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ht="12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ht="12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ht="12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ht="12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ht="12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ht="12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ht="12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ht="12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ht="12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ht="12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ht="12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ht="12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ht="12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ht="12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ht="12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ht="12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ht="12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ht="12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ht="12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ht="12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ht="12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ht="12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ht="12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ht="12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ht="12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ht="12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ht="12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ht="12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ht="12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ht="12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ht="12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ht="12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ht="12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ht="12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ht="12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ht="12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ht="12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ht="12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ht="12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ht="12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ht="12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ht="12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ht="12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ht="12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ht="12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ht="12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ht="12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ht="12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ht="12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ht="12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ht="12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ht="12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ht="12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ht="12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ht="12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ht="12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ht="12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ht="12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ht="12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ht="12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ht="12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ht="12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ht="12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ht="12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ht="12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ht="12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ht="12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ht="12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ht="12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ht="12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ht="12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ht="12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ht="12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ht="12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ht="12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ht="12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ht="12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ht="12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ht="12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ht="12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ht="12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ht="12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ht="12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ht="12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ht="16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ht="16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ht="16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ht="16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ht="16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ht="16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ht="16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ht="16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ht="16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ht="16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ht="16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ht="16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ht="16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ht="16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ht="16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ht="16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ht="16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ht="16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ht="16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</row>
    <row r="996" spans="1:24" ht="16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</row>
    <row r="997" spans="1:24" ht="16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</row>
    <row r="998" spans="1:24" ht="16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</row>
    <row r="999" spans="1:24" ht="16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</row>
    <row r="1000" spans="1:24" ht="16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topLeftCell="A6" zoomScale="120" zoomScaleNormal="120" workbookViewId="0">
      <selection activeCell="F11" sqref="F11"/>
    </sheetView>
  </sheetViews>
  <sheetFormatPr baseColWidth="10" defaultColWidth="14.3984375" defaultRowHeight="15" customHeight="1" x14ac:dyDescent="0.2"/>
  <cols>
    <col min="1" max="1" width="5.796875" customWidth="1"/>
    <col min="2" max="2" width="72.3984375" customWidth="1"/>
    <col min="3" max="4" width="13.19921875" customWidth="1"/>
    <col min="5" max="6" width="11.3984375" customWidth="1"/>
    <col min="7" max="26" width="10" customWidth="1"/>
  </cols>
  <sheetData>
    <row r="1" spans="1:26" ht="21.75" customHeight="1" x14ac:dyDescent="0.2">
      <c r="A1" s="116" t="s">
        <v>110</v>
      </c>
      <c r="B1" s="117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51" x14ac:dyDescent="0.2">
      <c r="A2" s="118" t="s">
        <v>111</v>
      </c>
      <c r="B2" s="115"/>
      <c r="C2" s="100" t="s">
        <v>188</v>
      </c>
      <c r="D2" s="97" t="s">
        <v>186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" x14ac:dyDescent="0.2">
      <c r="A3" s="114" t="s">
        <v>112</v>
      </c>
      <c r="B3" s="115"/>
      <c r="C3" s="101">
        <f>SUM(C4:C8)</f>
        <v>331083.07</v>
      </c>
      <c r="D3" s="98">
        <v>413634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6" x14ac:dyDescent="0.2">
      <c r="A4" s="119" t="s">
        <v>113</v>
      </c>
      <c r="B4" s="115"/>
      <c r="C4" s="102">
        <f>'Seletuskiri-eelarvele'!C5+'Seletuskiri-eelarvele'!C8</f>
        <v>32372.409999999996</v>
      </c>
      <c r="D4" s="99">
        <v>32372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" x14ac:dyDescent="0.2">
      <c r="A5" s="119" t="s">
        <v>114</v>
      </c>
      <c r="B5" s="115"/>
      <c r="C5" s="102">
        <f>'Seletuskiri-eelarvele'!C6</f>
        <v>1560</v>
      </c>
      <c r="D5" s="99">
        <v>1560</v>
      </c>
      <c r="E5" s="33"/>
      <c r="F5" s="8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" x14ac:dyDescent="0.2">
      <c r="A6" s="119" t="s">
        <v>115</v>
      </c>
      <c r="B6" s="115"/>
      <c r="C6" s="102">
        <f>'Seletuskiri-eelarvele'!C7</f>
        <v>1620</v>
      </c>
      <c r="D6" s="99">
        <v>1620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" x14ac:dyDescent="0.2">
      <c r="A7" s="119" t="s">
        <v>116</v>
      </c>
      <c r="B7" s="115"/>
      <c r="C7" s="102">
        <v>59179</v>
      </c>
      <c r="D7" s="99">
        <v>59179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6" x14ac:dyDescent="0.2">
      <c r="A8" s="119" t="s">
        <v>117</v>
      </c>
      <c r="B8" s="115"/>
      <c r="C8" s="102">
        <f>C24</f>
        <v>236351.66</v>
      </c>
      <c r="D8" s="99">
        <v>318903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6" x14ac:dyDescent="0.2">
      <c r="A9" s="114" t="s">
        <v>118</v>
      </c>
      <c r="B9" s="115"/>
      <c r="C9" s="101">
        <f>C13+C14+C18</f>
        <v>331083.07</v>
      </c>
      <c r="D9" s="98">
        <v>413634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34" customHeight="1" x14ac:dyDescent="0.2">
      <c r="A10" s="119" t="s">
        <v>119</v>
      </c>
      <c r="B10" s="115"/>
      <c r="C10" s="102">
        <f>'Seletuskiri-eelarvele'!B13</f>
        <v>5000</v>
      </c>
      <c r="D10" s="99">
        <v>3000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6" x14ac:dyDescent="0.2">
      <c r="A11" s="119" t="s">
        <v>120</v>
      </c>
      <c r="B11" s="115"/>
      <c r="C11" s="102">
        <f>C7+'Seletuskiri-eelarvele'!B24</f>
        <v>27731.409999999996</v>
      </c>
      <c r="D11" s="99">
        <v>66731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" x14ac:dyDescent="0.2">
      <c r="A12" s="119" t="s">
        <v>121</v>
      </c>
      <c r="B12" s="115"/>
      <c r="C12" s="102">
        <f>'Seletuskiri-eelarvele'!B17</f>
        <v>62000</v>
      </c>
      <c r="D12" s="99">
        <v>25000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6" x14ac:dyDescent="0.2">
      <c r="A13" s="114" t="s">
        <v>122</v>
      </c>
      <c r="B13" s="115"/>
      <c r="C13" s="101">
        <f>SUM(C10:C12)</f>
        <v>94731.41</v>
      </c>
      <c r="D13" s="98">
        <v>94731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6" x14ac:dyDescent="0.2">
      <c r="A14" s="34" t="s">
        <v>123</v>
      </c>
      <c r="B14" s="35"/>
      <c r="C14" s="101">
        <f>SUM(C15:C17)</f>
        <v>149629</v>
      </c>
      <c r="D14" s="98">
        <v>182398</v>
      </c>
      <c r="E14" s="33"/>
      <c r="F14" s="33"/>
      <c r="G14" s="84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7" x14ac:dyDescent="0.2">
      <c r="A15" s="36" t="s">
        <v>7</v>
      </c>
      <c r="B15" s="36" t="s">
        <v>124</v>
      </c>
      <c r="C15" s="102">
        <f>'Koond-2024'!B4</f>
        <v>108021</v>
      </c>
      <c r="D15" s="99">
        <v>121035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7" x14ac:dyDescent="0.2">
      <c r="A16" s="36" t="s">
        <v>19</v>
      </c>
      <c r="B16" s="36" t="s">
        <v>125</v>
      </c>
      <c r="C16" s="102">
        <f>'Koond-2024'!B5</f>
        <v>21604</v>
      </c>
      <c r="D16" s="99">
        <v>31063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34" x14ac:dyDescent="0.2">
      <c r="A17" s="36" t="s">
        <v>86</v>
      </c>
      <c r="B17" s="36" t="s">
        <v>126</v>
      </c>
      <c r="C17" s="102">
        <f>'Koond-2024'!B6</f>
        <v>20004</v>
      </c>
      <c r="D17" s="99">
        <v>30300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6" x14ac:dyDescent="0.2">
      <c r="A18" s="37" t="s">
        <v>127</v>
      </c>
      <c r="B18" s="38"/>
      <c r="C18" s="101">
        <f>SUM(C19:C23)</f>
        <v>86722.66</v>
      </c>
      <c r="D18" s="98">
        <v>136505</v>
      </c>
      <c r="E18" s="33"/>
      <c r="F18" s="33"/>
      <c r="G18" s="84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34" x14ac:dyDescent="0.2">
      <c r="A19" s="36" t="s">
        <v>39</v>
      </c>
      <c r="B19" s="39" t="s">
        <v>106</v>
      </c>
      <c r="C19" s="103">
        <f>'Koond-2024'!B8</f>
        <v>54159.6</v>
      </c>
      <c r="D19" s="76">
        <v>84561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4" x14ac:dyDescent="0.2">
      <c r="A20" s="36" t="s">
        <v>57</v>
      </c>
      <c r="B20" s="40" t="s">
        <v>94</v>
      </c>
      <c r="C20" s="102">
        <f>'Koond-2024'!B9</f>
        <v>2500</v>
      </c>
      <c r="D20" s="99">
        <v>5000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51" customHeight="1" x14ac:dyDescent="0.2">
      <c r="A21" s="36" t="s">
        <v>65</v>
      </c>
      <c r="B21" s="36" t="s">
        <v>189</v>
      </c>
      <c r="C21" s="102">
        <f>'Koond-2024'!B10</f>
        <v>4500</v>
      </c>
      <c r="D21" s="99">
        <v>6000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7" x14ac:dyDescent="0.2">
      <c r="A22" s="36" t="s">
        <v>128</v>
      </c>
      <c r="B22" s="36" t="s">
        <v>108</v>
      </c>
      <c r="C22" s="102">
        <f>'Koond-2024'!B11</f>
        <v>20576.060000000001</v>
      </c>
      <c r="D22" s="99">
        <v>35957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7" x14ac:dyDescent="0.2">
      <c r="A23" s="41" t="s">
        <v>129</v>
      </c>
      <c r="B23" s="41" t="s">
        <v>130</v>
      </c>
      <c r="C23" s="104">
        <f>'Koond-2024'!B12</f>
        <v>4987</v>
      </c>
      <c r="D23" s="99">
        <v>4987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6" x14ac:dyDescent="0.2">
      <c r="A24" s="114" t="s">
        <v>131</v>
      </c>
      <c r="B24" s="115"/>
      <c r="C24" s="107">
        <f>C18+C14</f>
        <v>236351.66</v>
      </c>
      <c r="D24" s="98">
        <v>318903</v>
      </c>
      <c r="E24" s="33"/>
      <c r="F24" s="33"/>
      <c r="G24" s="108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6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6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14">
    <mergeCell ref="A13:B13"/>
    <mergeCell ref="A24:B24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13" type="noConversion"/>
  <pageMargins left="0.7" right="0.7" top="0.75" bottom="0.75" header="0" footer="0"/>
  <pageSetup orientation="portrait"/>
  <ignoredErrors>
    <ignoredError sqref="C8:C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activeCell="B19" sqref="B19"/>
    </sheetView>
  </sheetViews>
  <sheetFormatPr baseColWidth="10" defaultColWidth="14.3984375" defaultRowHeight="15" customHeight="1" x14ac:dyDescent="0.2"/>
  <cols>
    <col min="1" max="1" width="43.19921875" customWidth="1"/>
    <col min="2" max="2" width="22.19921875" customWidth="1"/>
    <col min="3" max="3" width="18.796875" customWidth="1"/>
    <col min="4" max="6" width="11.3984375" customWidth="1"/>
    <col min="7" max="26" width="10" customWidth="1"/>
  </cols>
  <sheetData>
    <row r="1" spans="1:26" ht="16" x14ac:dyDescent="0.2">
      <c r="A1" s="32" t="s">
        <v>132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6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" x14ac:dyDescent="0.2">
      <c r="A3" s="120" t="s">
        <v>133</v>
      </c>
      <c r="B3" s="11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68" x14ac:dyDescent="0.2">
      <c r="A4" s="30" t="s">
        <v>134</v>
      </c>
      <c r="B4" s="29" t="s">
        <v>135</v>
      </c>
      <c r="C4" s="29" t="s">
        <v>136</v>
      </c>
      <c r="D4" s="4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6" x14ac:dyDescent="0.2">
      <c r="A5" s="30" t="s">
        <v>137</v>
      </c>
      <c r="B5" s="30">
        <v>51982</v>
      </c>
      <c r="C5" s="31">
        <f>B5*0.58</f>
        <v>30149.559999999998</v>
      </c>
      <c r="D5" s="33"/>
      <c r="E5" s="4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6" x14ac:dyDescent="0.2">
      <c r="A6" s="30" t="s">
        <v>138</v>
      </c>
      <c r="B6" s="30" t="s">
        <v>139</v>
      </c>
      <c r="C6" s="30">
        <f>24*65</f>
        <v>1560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6" x14ac:dyDescent="0.2">
      <c r="A7" s="30" t="s">
        <v>140</v>
      </c>
      <c r="B7" s="30" t="s">
        <v>141</v>
      </c>
      <c r="C7" s="30">
        <f>36*45</f>
        <v>1620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51" x14ac:dyDescent="0.2">
      <c r="A8" s="45" t="s">
        <v>142</v>
      </c>
      <c r="B8" s="46">
        <f>1945+5720</f>
        <v>7665</v>
      </c>
      <c r="C8" s="31">
        <f>(B8*0.58)*0.5</f>
        <v>2222.85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6" x14ac:dyDescent="0.2">
      <c r="A9" s="121" t="s">
        <v>143</v>
      </c>
      <c r="B9" s="115"/>
      <c r="C9" s="31">
        <f>SUM(C5:C8)</f>
        <v>35552.409999999996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 x14ac:dyDescent="0.2">
      <c r="A11" s="47"/>
      <c r="B11" s="4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6" x14ac:dyDescent="0.2">
      <c r="A12" s="47"/>
      <c r="B12" s="48" t="s">
        <v>144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6" x14ac:dyDescent="0.2">
      <c r="A13" s="49" t="s">
        <v>145</v>
      </c>
      <c r="B13" s="42">
        <f>SUM(B14)</f>
        <v>5000</v>
      </c>
      <c r="C13" s="50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68" x14ac:dyDescent="0.2">
      <c r="A14" s="51" t="s">
        <v>187</v>
      </c>
      <c r="B14" s="105">
        <v>5000</v>
      </c>
      <c r="C14" s="5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 x14ac:dyDescent="0.2">
      <c r="A15" s="53"/>
      <c r="B15" s="53"/>
      <c r="C15" s="5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6" x14ac:dyDescent="0.2">
      <c r="A16" s="33"/>
      <c r="B16" s="48" t="s">
        <v>144</v>
      </c>
      <c r="C16" s="5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7" x14ac:dyDescent="0.2">
      <c r="A17" s="29" t="s">
        <v>121</v>
      </c>
      <c r="B17" s="56">
        <v>62000</v>
      </c>
      <c r="C17" s="5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34" x14ac:dyDescent="0.2">
      <c r="A18" s="57" t="s">
        <v>146</v>
      </c>
      <c r="B18" s="57">
        <f>B17-B19</f>
        <v>52000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7" x14ac:dyDescent="0.2">
      <c r="A19" s="40" t="s">
        <v>147</v>
      </c>
      <c r="B19" s="58">
        <v>10000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2.75" customHeight="1" x14ac:dyDescent="0.2">
      <c r="A20" s="47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2.75" customHeight="1" x14ac:dyDescent="0.2">
      <c r="A21" s="47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 x14ac:dyDescent="0.2">
      <c r="A22" s="53"/>
      <c r="B22" s="59"/>
      <c r="C22" s="60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 x14ac:dyDescent="0.2">
      <c r="A23" s="33"/>
      <c r="B23" s="61" t="s">
        <v>144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7" x14ac:dyDescent="0.2">
      <c r="A24" s="29" t="s">
        <v>148</v>
      </c>
      <c r="B24" s="62">
        <f>C9-B13-B17</f>
        <v>-31447.590000000004</v>
      </c>
      <c r="C24" s="6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3.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3.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3.5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3.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3.5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3.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27.7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3.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3.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27.7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27.75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6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6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6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6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6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6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6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2">
    <mergeCell ref="A3:B3"/>
    <mergeCell ref="A9:B9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99"/>
  <sheetViews>
    <sheetView topLeftCell="A15" zoomScale="140" zoomScaleNormal="140" workbookViewId="0">
      <selection activeCell="C18" sqref="C18"/>
    </sheetView>
  </sheetViews>
  <sheetFormatPr baseColWidth="10" defaultColWidth="14.3984375" defaultRowHeight="15" customHeight="1" x14ac:dyDescent="0.2"/>
  <cols>
    <col min="1" max="1" width="89" bestFit="1" customWidth="1"/>
    <col min="2" max="2" width="30.796875" bestFit="1" customWidth="1"/>
    <col min="3" max="3" width="25.3984375" bestFit="1" customWidth="1"/>
    <col min="4" max="4" width="21" bestFit="1" customWidth="1"/>
    <col min="5" max="27" width="10.796875" customWidth="1"/>
  </cols>
  <sheetData>
    <row r="1" spans="1:4" ht="13.5" customHeight="1" x14ac:dyDescent="0.2">
      <c r="A1" s="53" t="s">
        <v>149</v>
      </c>
      <c r="B1" s="63"/>
      <c r="C1" s="63"/>
      <c r="D1" s="63"/>
    </row>
    <row r="2" spans="1:4" ht="13.5" customHeight="1" x14ac:dyDescent="0.2">
      <c r="A2" s="63"/>
      <c r="B2" s="63"/>
      <c r="C2" s="63"/>
      <c r="D2" s="63"/>
    </row>
    <row r="3" spans="1:4" ht="13.5" customHeight="1" x14ac:dyDescent="0.2">
      <c r="A3" s="63"/>
      <c r="B3" s="64"/>
      <c r="C3" s="64"/>
      <c r="D3" s="63"/>
    </row>
    <row r="4" spans="1:4" ht="16" x14ac:dyDescent="0.2">
      <c r="A4" s="42" t="s">
        <v>150</v>
      </c>
      <c r="B4" s="86" t="s">
        <v>170</v>
      </c>
      <c r="C4" s="88" t="s">
        <v>167</v>
      </c>
      <c r="D4" s="88" t="s">
        <v>165</v>
      </c>
    </row>
    <row r="5" spans="1:4" ht="16" x14ac:dyDescent="0.2">
      <c r="A5" s="66" t="s">
        <v>168</v>
      </c>
      <c r="B5" s="66">
        <v>75000</v>
      </c>
      <c r="C5" s="89">
        <v>0</v>
      </c>
      <c r="D5" s="88">
        <f>B5*C5</f>
        <v>0</v>
      </c>
    </row>
    <row r="6" spans="1:4" ht="16" x14ac:dyDescent="0.2">
      <c r="A6" s="66" t="s">
        <v>166</v>
      </c>
      <c r="B6" s="66">
        <v>30644</v>
      </c>
      <c r="C6" s="89">
        <v>0.2</v>
      </c>
      <c r="D6" s="88">
        <f t="shared" ref="D6:D15" si="0">B6*C6</f>
        <v>6128.8</v>
      </c>
    </row>
    <row r="7" spans="1:4" ht="16" x14ac:dyDescent="0.2">
      <c r="A7" s="66" t="s">
        <v>151</v>
      </c>
      <c r="B7" s="66">
        <v>35200</v>
      </c>
      <c r="C7" s="89">
        <v>0.2</v>
      </c>
      <c r="D7" s="88">
        <f t="shared" si="0"/>
        <v>7040</v>
      </c>
    </row>
    <row r="8" spans="1:4" ht="16" x14ac:dyDescent="0.2">
      <c r="A8" s="66" t="s">
        <v>152</v>
      </c>
      <c r="B8" s="66">
        <v>77000</v>
      </c>
      <c r="C8" s="89">
        <v>0.2</v>
      </c>
      <c r="D8" s="88">
        <f>(B8*C8)/2</f>
        <v>7700</v>
      </c>
    </row>
    <row r="9" spans="1:4" ht="16" x14ac:dyDescent="0.2">
      <c r="A9" s="66" t="s">
        <v>147</v>
      </c>
      <c r="B9" s="66">
        <v>10000</v>
      </c>
      <c r="C9" s="89">
        <v>0</v>
      </c>
      <c r="D9" s="88">
        <f t="shared" si="0"/>
        <v>0</v>
      </c>
    </row>
    <row r="10" spans="1:4" ht="16" x14ac:dyDescent="0.2">
      <c r="A10" s="66" t="s">
        <v>153</v>
      </c>
      <c r="B10" s="87">
        <v>25000</v>
      </c>
      <c r="C10" s="89">
        <v>0.2</v>
      </c>
      <c r="D10" s="88">
        <f t="shared" si="0"/>
        <v>5000</v>
      </c>
    </row>
    <row r="11" spans="1:4" ht="16" x14ac:dyDescent="0.2">
      <c r="A11" s="66" t="s">
        <v>154</v>
      </c>
      <c r="B11" s="66">
        <v>40000</v>
      </c>
      <c r="C11" s="89">
        <v>0.2</v>
      </c>
      <c r="D11" s="88">
        <f t="shared" si="0"/>
        <v>8000</v>
      </c>
    </row>
    <row r="12" spans="1:4" ht="16" x14ac:dyDescent="0.2">
      <c r="A12" s="66" t="s">
        <v>155</v>
      </c>
      <c r="B12" s="66">
        <v>3600</v>
      </c>
      <c r="C12" s="89">
        <v>0</v>
      </c>
      <c r="D12" s="88">
        <f t="shared" si="0"/>
        <v>0</v>
      </c>
    </row>
    <row r="13" spans="1:4" ht="16" x14ac:dyDescent="0.2">
      <c r="A13" s="66" t="s">
        <v>156</v>
      </c>
      <c r="B13" s="87">
        <v>58108</v>
      </c>
      <c r="C13" s="89">
        <v>0.1</v>
      </c>
      <c r="D13" s="88">
        <f t="shared" si="0"/>
        <v>5810.8</v>
      </c>
    </row>
    <row r="14" spans="1:4" ht="16" x14ac:dyDescent="0.2">
      <c r="A14" s="66" t="s">
        <v>158</v>
      </c>
      <c r="B14" s="87">
        <v>30000</v>
      </c>
      <c r="C14" s="89">
        <v>0.25</v>
      </c>
      <c r="D14" s="88">
        <f t="shared" si="0"/>
        <v>7500</v>
      </c>
    </row>
    <row r="15" spans="1:4" ht="16" x14ac:dyDescent="0.2">
      <c r="A15" s="66" t="s">
        <v>169</v>
      </c>
      <c r="B15" s="87">
        <v>20000</v>
      </c>
      <c r="C15" s="89">
        <v>0.2</v>
      </c>
      <c r="D15" s="88">
        <f t="shared" si="0"/>
        <v>4000</v>
      </c>
    </row>
    <row r="16" spans="1:4" ht="16" x14ac:dyDescent="0.2">
      <c r="A16" s="69" t="s">
        <v>157</v>
      </c>
      <c r="B16" s="70">
        <f>SUM(B5:B15)</f>
        <v>404552</v>
      </c>
      <c r="C16" s="85"/>
      <c r="D16" s="53">
        <f>SUM(D5:D15)</f>
        <v>51179.600000000006</v>
      </c>
    </row>
    <row r="17" spans="1:4" ht="13.5" customHeight="1" x14ac:dyDescent="0.2">
      <c r="A17" s="63"/>
      <c r="B17" s="64"/>
      <c r="C17" s="64"/>
      <c r="D17" s="63"/>
    </row>
    <row r="18" spans="1:4" ht="16" x14ac:dyDescent="0.2">
      <c r="A18" s="42" t="s">
        <v>150</v>
      </c>
      <c r="B18" s="65" t="s">
        <v>171</v>
      </c>
      <c r="C18" s="64"/>
      <c r="D18" s="63"/>
    </row>
    <row r="19" spans="1:4" ht="16" x14ac:dyDescent="0.2">
      <c r="A19" s="66" t="s">
        <v>168</v>
      </c>
      <c r="B19" s="67">
        <v>75000</v>
      </c>
      <c r="C19" s="63"/>
      <c r="D19" s="63"/>
    </row>
    <row r="20" spans="1:4" ht="16" x14ac:dyDescent="0.2">
      <c r="A20" s="66" t="s">
        <v>166</v>
      </c>
      <c r="B20" s="67">
        <v>30644</v>
      </c>
      <c r="C20" s="63"/>
      <c r="D20" s="63"/>
    </row>
    <row r="21" spans="1:4" ht="16" x14ac:dyDescent="0.2">
      <c r="A21" s="66" t="s">
        <v>151</v>
      </c>
      <c r="B21" s="67">
        <v>35200</v>
      </c>
      <c r="C21" s="63"/>
      <c r="D21" s="63"/>
    </row>
    <row r="22" spans="1:4" ht="16" x14ac:dyDescent="0.2">
      <c r="A22" s="66" t="s">
        <v>152</v>
      </c>
      <c r="B22" s="67">
        <v>77000</v>
      </c>
      <c r="C22" s="63"/>
      <c r="D22" s="63"/>
    </row>
    <row r="23" spans="1:4" ht="16" x14ac:dyDescent="0.2">
      <c r="A23" s="66" t="s">
        <v>147</v>
      </c>
      <c r="B23" s="67">
        <v>10000</v>
      </c>
      <c r="C23" s="63"/>
      <c r="D23" s="63"/>
    </row>
    <row r="24" spans="1:4" ht="16" x14ac:dyDescent="0.2">
      <c r="A24" s="66" t="s">
        <v>153</v>
      </c>
      <c r="B24" s="68">
        <v>25000</v>
      </c>
      <c r="C24" s="63"/>
      <c r="D24" s="63"/>
    </row>
    <row r="25" spans="1:4" ht="16" x14ac:dyDescent="0.2">
      <c r="A25" s="66" t="s">
        <v>154</v>
      </c>
      <c r="B25" s="67">
        <v>40000</v>
      </c>
      <c r="C25" s="63"/>
      <c r="D25" s="63"/>
    </row>
    <row r="26" spans="1:4" ht="16" x14ac:dyDescent="0.2">
      <c r="A26" s="66" t="s">
        <v>155</v>
      </c>
      <c r="B26" s="67">
        <v>3600</v>
      </c>
      <c r="C26" s="63"/>
      <c r="D26" s="63"/>
    </row>
    <row r="27" spans="1:4" ht="16" x14ac:dyDescent="0.2">
      <c r="A27" s="66" t="s">
        <v>156</v>
      </c>
      <c r="B27" s="68">
        <v>58108</v>
      </c>
      <c r="C27" s="63"/>
      <c r="D27" s="63"/>
    </row>
    <row r="28" spans="1:4" ht="16" x14ac:dyDescent="0.2">
      <c r="A28" s="66" t="s">
        <v>158</v>
      </c>
      <c r="B28" s="68">
        <v>30000</v>
      </c>
      <c r="C28" s="63"/>
      <c r="D28" s="63"/>
    </row>
    <row r="29" spans="1:4" ht="16" x14ac:dyDescent="0.2">
      <c r="A29" s="66" t="s">
        <v>169</v>
      </c>
      <c r="B29" s="68">
        <v>20000</v>
      </c>
      <c r="C29" s="63"/>
      <c r="D29" s="63"/>
    </row>
    <row r="30" spans="1:4" ht="16" x14ac:dyDescent="0.2">
      <c r="A30" s="69" t="s">
        <v>157</v>
      </c>
      <c r="B30" s="71">
        <f>SUM(B19:B29)</f>
        <v>404552</v>
      </c>
      <c r="C30" s="53"/>
      <c r="D30" s="63"/>
    </row>
    <row r="31" spans="1:4" ht="13.5" customHeight="1" x14ac:dyDescent="0.2"/>
    <row r="32" spans="1:4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</sheetData>
  <pageMargins left="0.7" right="0.7" top="0.75" bottom="0.75" header="0" footer="0"/>
  <pageSetup paperSize="9" orientation="portrait"/>
  <ignoredErrors>
    <ignoredError sqref="D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062F-4C65-154B-81BC-76F87425FA5E}">
  <dimension ref="B6:D20"/>
  <sheetViews>
    <sheetView zoomScale="170" zoomScaleNormal="170" workbookViewId="0">
      <selection activeCell="A12" sqref="A12"/>
    </sheetView>
  </sheetViews>
  <sheetFormatPr baseColWidth="10" defaultRowHeight="16" x14ac:dyDescent="0.2"/>
  <cols>
    <col min="1" max="1" width="11" style="90"/>
    <col min="2" max="2" width="4.796875" style="90" bestFit="1" customWidth="1"/>
    <col min="3" max="3" width="89" style="90" bestFit="1" customWidth="1"/>
    <col min="4" max="4" width="14" style="90" bestFit="1" customWidth="1"/>
    <col min="5" max="16384" width="11" style="90"/>
  </cols>
  <sheetData>
    <row r="6" spans="2:4" x14ac:dyDescent="0.2">
      <c r="C6" s="93" t="s">
        <v>173</v>
      </c>
    </row>
    <row r="7" spans="2:4" x14ac:dyDescent="0.2">
      <c r="B7" s="95" t="s">
        <v>2</v>
      </c>
      <c r="C7" s="95" t="s">
        <v>180</v>
      </c>
      <c r="D7" s="95" t="s">
        <v>183</v>
      </c>
    </row>
    <row r="8" spans="2:4" x14ac:dyDescent="0.2">
      <c r="B8" s="91" t="s">
        <v>5</v>
      </c>
      <c r="C8" s="88" t="s">
        <v>182</v>
      </c>
      <c r="D8" s="94">
        <v>200000</v>
      </c>
    </row>
    <row r="9" spans="2:4" x14ac:dyDescent="0.2">
      <c r="B9" s="91" t="s">
        <v>37</v>
      </c>
      <c r="C9" s="88" t="s">
        <v>181</v>
      </c>
      <c r="D9" s="94">
        <v>48500</v>
      </c>
    </row>
    <row r="10" spans="2:4" x14ac:dyDescent="0.2">
      <c r="B10" s="91" t="s">
        <v>67</v>
      </c>
      <c r="C10" s="88" t="s">
        <v>151</v>
      </c>
      <c r="D10" s="94">
        <v>42200</v>
      </c>
    </row>
    <row r="11" spans="2:4" x14ac:dyDescent="0.2">
      <c r="B11" s="91" t="s">
        <v>95</v>
      </c>
      <c r="C11" s="88" t="s">
        <v>152</v>
      </c>
      <c r="D11" s="94">
        <v>87500</v>
      </c>
    </row>
    <row r="12" spans="2:4" x14ac:dyDescent="0.2">
      <c r="B12" s="91" t="s">
        <v>97</v>
      </c>
      <c r="C12" s="88" t="s">
        <v>147</v>
      </c>
      <c r="D12" s="94">
        <v>10000</v>
      </c>
    </row>
    <row r="13" spans="2:4" x14ac:dyDescent="0.2">
      <c r="B13" s="91" t="s">
        <v>174</v>
      </c>
      <c r="C13" s="88" t="s">
        <v>153</v>
      </c>
      <c r="D13" s="94">
        <v>180880</v>
      </c>
    </row>
    <row r="14" spans="2:4" x14ac:dyDescent="0.2">
      <c r="B14" s="91" t="s">
        <v>175</v>
      </c>
      <c r="C14" s="88" t="s">
        <v>154</v>
      </c>
      <c r="D14" s="94">
        <v>200993.75</v>
      </c>
    </row>
    <row r="15" spans="2:4" x14ac:dyDescent="0.2">
      <c r="B15" s="91" t="s">
        <v>176</v>
      </c>
      <c r="C15" s="88" t="s">
        <v>155</v>
      </c>
      <c r="D15" s="94">
        <v>3600</v>
      </c>
    </row>
    <row r="16" spans="2:4" x14ac:dyDescent="0.2">
      <c r="B16" s="91" t="s">
        <v>177</v>
      </c>
      <c r="C16" s="88" t="s">
        <v>156</v>
      </c>
      <c r="D16" s="94">
        <v>116215.94</v>
      </c>
    </row>
    <row r="17" spans="2:4" x14ac:dyDescent="0.2">
      <c r="B17" s="91" t="s">
        <v>178</v>
      </c>
      <c r="C17" s="88" t="s">
        <v>158</v>
      </c>
      <c r="D17" s="94">
        <v>50150</v>
      </c>
    </row>
    <row r="18" spans="2:4" x14ac:dyDescent="0.2">
      <c r="B18" s="91" t="s">
        <v>179</v>
      </c>
      <c r="C18" s="88" t="s">
        <v>169</v>
      </c>
      <c r="D18" s="94">
        <v>36000</v>
      </c>
    </row>
    <row r="19" spans="2:4" x14ac:dyDescent="0.2">
      <c r="C19" s="92" t="s">
        <v>172</v>
      </c>
      <c r="D19" s="93">
        <f>SUM(D8:D18)</f>
        <v>976039.69</v>
      </c>
    </row>
    <row r="20" spans="2:4" x14ac:dyDescent="0.2">
      <c r="C20" s="92" t="s">
        <v>184</v>
      </c>
      <c r="D20" s="96">
        <f>D8+D13+D14+D15+D16+D17</f>
        <v>751839.69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jooksvad kulud 2024</vt:lpstr>
      <vt:lpstr>elavdamiskulud 2024</vt:lpstr>
      <vt:lpstr>Koond-2024</vt:lpstr>
      <vt:lpstr>Eelarve-2024</vt:lpstr>
      <vt:lpstr>Seletuskiri-eelarvele</vt:lpstr>
      <vt:lpstr>Arendusprojektide-eelarve-2024</vt:lpstr>
      <vt:lpstr>TAS-arendusprojektid</vt:lpstr>
      <vt:lpstr>'jooksvad kulud 2024'!Prinditiitlid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Kristiina Tammets</cp:lastModifiedBy>
  <dcterms:created xsi:type="dcterms:W3CDTF">2008-10-28T20:52:00Z</dcterms:created>
  <dcterms:modified xsi:type="dcterms:W3CDTF">2024-06-19T05:11:17Z</dcterms:modified>
</cp:coreProperties>
</file>